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jolijnbruurs/Downloads/"/>
    </mc:Choice>
  </mc:AlternateContent>
  <xr:revisionPtr revIDLastSave="0" documentId="8_{6F7ADC72-F42E-014D-8960-DADCAFC10292}" xr6:coauthVersionLast="47" xr6:coauthVersionMax="47" xr10:uidLastSave="{00000000-0000-0000-0000-000000000000}"/>
  <bookViews>
    <workbookView xWindow="280" yWindow="760" windowWidth="22700" windowHeight="9280" activeTab="1" xr2:uid="{00000000-000D-0000-FFFF-FFFF00000000}"/>
  </bookViews>
  <sheets>
    <sheet name="Blad4" sheetId="4" r:id="rId1"/>
    <sheet name="Blad1" sheetId="1" r:id="rId2"/>
    <sheet name="Blad2" sheetId="2" r:id="rId3"/>
    <sheet name="Blad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N46" i="1"/>
  <c r="S11" i="1"/>
  <c r="E59" i="1" l="1"/>
  <c r="S10" i="1"/>
  <c r="E61" i="1"/>
  <c r="E17" i="1"/>
  <c r="E18" i="1" s="1"/>
  <c r="E22" i="1" s="1"/>
  <c r="E42" i="1" l="1"/>
  <c r="N32" i="1"/>
  <c r="N34" i="1" s="1"/>
  <c r="N37" i="1" s="1"/>
  <c r="N38" i="1" s="1"/>
  <c r="N19" i="1" l="1"/>
  <c r="N21" i="1" s="1"/>
  <c r="N24" i="1" s="1"/>
  <c r="N41" i="1" s="1"/>
  <c r="E45" i="1"/>
  <c r="E46" i="1" s="1"/>
  <c r="E30" i="1"/>
  <c r="E33" i="1" s="1"/>
  <c r="E49" i="1" s="1"/>
  <c r="E53" i="1" s="1"/>
  <c r="E58" i="1"/>
  <c r="E60" i="1" s="1"/>
  <c r="E63" i="1" s="1"/>
  <c r="H10" i="1"/>
  <c r="N47" i="1" s="1"/>
  <c r="R24" i="1" l="1"/>
  <c r="N42" i="1"/>
  <c r="N49" i="1"/>
  <c r="H33" i="1"/>
  <c r="N53" i="1" l="1"/>
</calcChain>
</file>

<file path=xl/sharedStrings.xml><?xml version="1.0" encoding="utf-8"?>
<sst xmlns="http://schemas.openxmlformats.org/spreadsheetml/2006/main" count="152" uniqueCount="110">
  <si>
    <t>kWh</t>
  </si>
  <si>
    <t>euro</t>
  </si>
  <si>
    <t>m3</t>
  </si>
  <si>
    <t>kWh/m3</t>
  </si>
  <si>
    <t xml:space="preserve"> </t>
  </si>
  <si>
    <t>Verliezen warmtenet</t>
  </si>
  <si>
    <t>%</t>
  </si>
  <si>
    <t>per GJ</t>
  </si>
  <si>
    <t>GJ</t>
  </si>
  <si>
    <t>Calorische waarde gas</t>
  </si>
  <si>
    <t>COP:</t>
  </si>
  <si>
    <t xml:space="preserve">       =</t>
  </si>
  <si>
    <t xml:space="preserve">euro </t>
  </si>
  <si>
    <t>Gas verbruik</t>
  </si>
  <si>
    <t>Warmtepomp aanschaf</t>
  </si>
  <si>
    <t>Investering</t>
  </si>
  <si>
    <t>Deelnemers</t>
  </si>
  <si>
    <t>Per deelnemer</t>
  </si>
  <si>
    <t>Gestegen kosten</t>
  </si>
  <si>
    <t xml:space="preserve">  (moet zijn ACM max</t>
  </si>
  <si>
    <t>Vaste lasten elektra</t>
  </si>
  <si>
    <t>laag door vermindering</t>
  </si>
  <si>
    <t xml:space="preserve"> energiebelasting!</t>
  </si>
  <si>
    <t>Gas per m3</t>
  </si>
  <si>
    <t>Aantal m3</t>
  </si>
  <si>
    <t>totaal</t>
  </si>
  <si>
    <t>variabel</t>
  </si>
  <si>
    <t>Het warmtenet moet van grondwater (18 graden?) naar 70 graden en bereikt daarom geen hoge COP.</t>
  </si>
  <si>
    <t>De particulier moet (veelal) van de buitenluchttemperatuur naar 35 tot 45 graden (bij een goed geïsoleerd huis) en bereikt daarom een betere COP, maar die wisselt wel door het jaar!</t>
  </si>
  <si>
    <t>energie inkomsten van de aansluiting na belastingafdracht door warmtenet</t>
  </si>
  <si>
    <t>Duidelijk blijkt telkens weer dat de aanlegkosten voor een warmtenet zo hoog zijn dat het niet betaalbaar te krijgen lijkt.</t>
  </si>
  <si>
    <t>Alle variabelen in de gele vakken kunnen veranderd worden om de effecten te zien.</t>
  </si>
  <si>
    <t>Deze kunnen echter een grote invloed hebben.</t>
  </si>
  <si>
    <t>Subsidies, gestegen bouwkosten en andere exploitatiekosten zijn niet bekend en dus niet meegenomen in beide situaties.</t>
  </si>
  <si>
    <t>Onderhoud per jaar</t>
  </si>
  <si>
    <t>exploitatie/jaar/deelnemer</t>
  </si>
  <si>
    <t xml:space="preserve">CV ketel + onderhoud </t>
  </si>
  <si>
    <r>
      <t xml:space="preserve">De particulier kan nu nog salderen en </t>
    </r>
    <r>
      <rPr>
        <u/>
        <sz val="11"/>
        <color theme="1"/>
        <rFont val="Calibri"/>
        <family val="2"/>
        <scheme val="minor"/>
      </rPr>
      <t>door zijn zonnepanelen heel veel besparen op zijn elektra</t>
    </r>
    <r>
      <rPr>
        <sz val="11"/>
        <color theme="1"/>
        <rFont val="Calibri"/>
        <family val="2"/>
        <scheme val="minor"/>
      </rPr>
      <t xml:space="preserve"> , maar dat verslechtert sterk in 2027. Zonnepanelen wekken weinig op in de winter, juist als de warmtepompen moeten draaien.</t>
    </r>
  </si>
  <si>
    <t>Prijs per kWh</t>
  </si>
  <si>
    <t xml:space="preserve">min subsidie </t>
  </si>
  <si>
    <t xml:space="preserve">looptijd </t>
  </si>
  <si>
    <t>annuïteit</t>
  </si>
  <si>
    <t>rente</t>
  </si>
  <si>
    <t>maanden</t>
  </si>
  <si>
    <t>per jaar</t>
  </si>
  <si>
    <t>per mnd</t>
  </si>
  <si>
    <t>Kosten elektra privé pomp</t>
  </si>
  <si>
    <t>Vaste kosten particulier met warmtepomp</t>
  </si>
  <si>
    <t>Berekening warmtevraag op grond van het (oude) gasverbruik.</t>
  </si>
  <si>
    <t>Totaal gas per jaar</t>
  </si>
  <si>
    <t>Energiekosten (variabel)</t>
  </si>
  <si>
    <t>Kosten particulier met gas CV per jaar</t>
  </si>
  <si>
    <t>Kosten particulier met warmtepomp per jaar</t>
  </si>
  <si>
    <r>
      <t>Totaal Priv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 Warmtepomp per jaar</t>
    </r>
  </si>
  <si>
    <t>Kosten bij aansluiting op het warmtenet per jaar.</t>
  </si>
  <si>
    <t xml:space="preserve"> ACM max vaste lasten</t>
  </si>
  <si>
    <t>energiekosten incl. belasting</t>
  </si>
  <si>
    <t>Verbruik GJ</t>
  </si>
  <si>
    <t>Kosten 1 GJ (ACM max)</t>
  </si>
  <si>
    <t>Elektriciteitsvraag is netto</t>
  </si>
  <si>
    <t>Elektriciteitsvraag is bruto</t>
  </si>
  <si>
    <t>euro/GJ</t>
  </si>
  <si>
    <t>ACM maximum prijs per GJ</t>
  </si>
  <si>
    <t>Indien nodig raadpleeg de toelichting bij dit speadsheet.</t>
  </si>
  <si>
    <t>Warmtevraag van woning</t>
  </si>
  <si>
    <t>Totaal bij Warmtenet per jaar</t>
  </si>
  <si>
    <t>opbrengst/GJ voor warmtenet</t>
  </si>
  <si>
    <t xml:space="preserve">  min belastingen; dit is nog onbekend)</t>
  </si>
  <si>
    <t>Inkomsten warmtenet per jaar</t>
  </si>
  <si>
    <t>ACM max bedrag vaste lasten min af te dragen belastingen)</t>
  </si>
  <si>
    <t>Totaal</t>
  </si>
  <si>
    <t>totale inkomsten warmtenet voor deze aansluiting per jaar</t>
  </si>
  <si>
    <t>euro/jr</t>
  </si>
  <si>
    <t>totale investeringskosten</t>
  </si>
  <si>
    <t>energie kosten/jaar</t>
  </si>
  <si>
    <t>Voor deze aansluiting, dus met bovengenoemde warmtevraag</t>
  </si>
  <si>
    <t>Totale kosten warmtenet per jr</t>
  </si>
  <si>
    <t>Suggesties ter verbetering van dit spreadsheet zijn welkom.</t>
  </si>
  <si>
    <t>Vaste lasten gascontract</t>
  </si>
  <si>
    <t>ACM max voor vaste lasten</t>
  </si>
  <si>
    <t>grootverbruiker nog zonder belastingen</t>
  </si>
  <si>
    <t>Subsidie (WIS)</t>
  </si>
  <si>
    <t>Individuele subsidie (ISDE)</t>
  </si>
  <si>
    <t>totale investering</t>
  </si>
  <si>
    <t>Inkomsten voor Vaste lasten</t>
  </si>
  <si>
    <t>Inkomsten geleverde warmte</t>
  </si>
  <si>
    <t>Spreadsheet Warmtekosten gas-pomp-net</t>
  </si>
  <si>
    <t>Mensen die op gas kookten moeten</t>
  </si>
  <si>
    <t>de aanschaf en installatie van kookplaat (oven en pannen?)</t>
  </si>
  <si>
    <t>meerekenen (eenmalig), alsmede</t>
  </si>
  <si>
    <t xml:space="preserve">Warmtenet saldo </t>
  </si>
  <si>
    <t>Door allerlei variabelen te veranderen kan iedereen zichzelf of een ander rijk of arm rekenen! Blijf reëel.</t>
  </si>
  <si>
    <t>voor deze aansluiting per jaar</t>
  </si>
  <si>
    <t>Pro Memorie bij een privé warmtepomp of aansluiting op het warmtenet:</t>
  </si>
  <si>
    <t>Elektriciteitvraag is dan</t>
  </si>
  <si>
    <t>Kosten voor warmtenet voor deze aansluiting per jaar</t>
  </si>
  <si>
    <t>Elektrakosten / jaar</t>
  </si>
  <si>
    <t>Vaste kosten warmtenet voor deze aansluiting per jaar</t>
  </si>
  <si>
    <t>opbrengst VL/aansluiting</t>
  </si>
  <si>
    <t>Randvoorwaarden Autoriteit Consument enMarkt en deel daarvan voor het warmtenet</t>
  </si>
  <si>
    <t>het jaarlijkse extra elektriciteit gebruik.</t>
  </si>
  <si>
    <t>ronslockers@gmail.com</t>
  </si>
  <si>
    <t>Coëfficiënt Of Production: energieopbrengst = COP x energiegebruik warmtepomp</t>
  </si>
  <si>
    <t>*</t>
  </si>
  <si>
    <t>4.1 Spreadsheet Warmtekosten gas-pomp-net 4.1</t>
  </si>
  <si>
    <t>**</t>
  </si>
  <si>
    <t>De gebruikte formules kunnen we op verzoek toesturen.</t>
  </si>
  <si>
    <t>Kleine verschillen door afrondingen</t>
  </si>
  <si>
    <t>***</t>
  </si>
  <si>
    <t>Muiderberg,  8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</si>
</sst>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&quot;€&quot;\ \-#,##0.00"/>
    <numFmt numFmtId="165" formatCode="0.0"/>
    <numFmt numFmtId="166" formatCode="&quot;€&quot;\ #,##0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" fontId="0" fillId="0" borderId="0" xfId="0" applyNumberFormat="1"/>
    <xf numFmtId="0" fontId="0" fillId="2" borderId="0" xfId="0" applyFill="1" applyAlignment="1">
      <alignment horizontal="right"/>
    </xf>
    <xf numFmtId="0" fontId="2" fillId="0" borderId="0" xfId="0" applyFont="1"/>
    <xf numFmtId="15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0" fontId="0" fillId="2" borderId="0" xfId="0" applyFill="1" applyProtection="1">
      <protection locked="0"/>
    </xf>
    <xf numFmtId="2" fontId="0" fillId="0" borderId="0" xfId="0" applyNumberFormat="1" applyAlignment="1">
      <alignment horizontal="right"/>
    </xf>
    <xf numFmtId="2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1" fontId="0" fillId="0" borderId="0" xfId="0" applyNumberFormat="1" applyProtection="1">
      <protection locked="0"/>
    </xf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4" xfId="0" applyFont="1" applyBorder="1"/>
    <xf numFmtId="0" fontId="0" fillId="0" borderId="5" xfId="0" applyBorder="1" applyAlignment="1">
      <alignment horizontal="right"/>
    </xf>
    <xf numFmtId="0" fontId="0" fillId="0" borderId="4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1" xfId="0" applyFont="1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66" fontId="0" fillId="2" borderId="0" xfId="0" applyNumberFormat="1" applyFill="1" applyProtection="1">
      <protection locked="0"/>
    </xf>
    <xf numFmtId="165" fontId="0" fillId="2" borderId="0" xfId="0" applyNumberFormat="1" applyFill="1" applyAlignment="1" applyProtection="1">
      <alignment horizontal="right"/>
      <protection locked="0"/>
    </xf>
    <xf numFmtId="1" fontId="0" fillId="2" borderId="0" xfId="0" applyNumberFormat="1" applyFill="1" applyAlignment="1" applyProtection="1">
      <alignment horizontal="right"/>
      <protection locked="0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7" fontId="0" fillId="0" borderId="0" xfId="0" applyNumberFormat="1" applyProtection="1">
      <protection locked="0"/>
    </xf>
    <xf numFmtId="0" fontId="1" fillId="0" borderId="7" xfId="0" applyFont="1" applyBorder="1"/>
    <xf numFmtId="0" fontId="4" fillId="0" borderId="1" xfId="0" applyFont="1" applyBorder="1"/>
    <xf numFmtId="0" fontId="5" fillId="0" borderId="0" xfId="1"/>
    <xf numFmtId="1" fontId="1" fillId="0" borderId="0" xfId="0" applyNumberFormat="1" applyFont="1"/>
    <xf numFmtId="1" fontId="0" fillId="0" borderId="0" xfId="0" applyNumberFormat="1" applyAlignment="1">
      <alignment horizontal="left" indent="4"/>
    </xf>
    <xf numFmtId="0" fontId="0" fillId="2" borderId="0" xfId="0" applyFill="1" applyAlignment="1" applyProtection="1">
      <alignment horizontal="right"/>
      <protection locked="0"/>
    </xf>
    <xf numFmtId="1" fontId="1" fillId="0" borderId="7" xfId="0" applyNumberFormat="1" applyFont="1" applyBorder="1"/>
    <xf numFmtId="0" fontId="0" fillId="2" borderId="7" xfId="0" applyFill="1" applyBorder="1" applyProtection="1">
      <protection locked="0"/>
    </xf>
    <xf numFmtId="0" fontId="0" fillId="0" borderId="0" xfId="0" applyProtection="1"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nslocker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87"/>
  <sheetViews>
    <sheetView tabSelected="1" workbookViewId="0">
      <selection activeCell="N40" sqref="N40"/>
    </sheetView>
  </sheetViews>
  <sheetFormatPr baseColWidth="10" defaultColWidth="8.83203125" defaultRowHeight="15" x14ac:dyDescent="0.2"/>
  <cols>
    <col min="1" max="1" width="5.5" customWidth="1"/>
    <col min="2" max="2" width="9.33203125" bestFit="1" customWidth="1"/>
    <col min="3" max="3" width="11.5" bestFit="1" customWidth="1"/>
    <col min="5" max="5" width="10.33203125" bestFit="1" customWidth="1"/>
    <col min="6" max="6" width="8.83203125" style="2"/>
    <col min="7" max="7" width="6.6640625" style="2" customWidth="1"/>
    <col min="8" max="8" width="7.1640625" style="2" customWidth="1"/>
    <col min="9" max="9" width="6.6640625" style="2" customWidth="1"/>
    <col min="10" max="10" width="7.6640625" customWidth="1"/>
    <col min="12" max="13" width="8.83203125" style="2"/>
    <col min="14" max="14" width="11.5" bestFit="1" customWidth="1"/>
    <col min="15" max="15" width="8.83203125" style="2"/>
    <col min="18" max="18" width="8.83203125" style="2"/>
    <col min="22" max="22" width="11" customWidth="1"/>
    <col min="23" max="23" width="8.1640625" customWidth="1"/>
    <col min="24" max="24" width="3.83203125" customWidth="1"/>
  </cols>
  <sheetData>
    <row r="1" spans="2:24" x14ac:dyDescent="0.2">
      <c r="B1" s="10" t="s">
        <v>86</v>
      </c>
    </row>
    <row r="3" spans="2:24" x14ac:dyDescent="0.2">
      <c r="B3" s="3" t="s">
        <v>31</v>
      </c>
      <c r="C3" s="3"/>
      <c r="D3" s="3"/>
      <c r="E3" s="3"/>
      <c r="F3" s="5"/>
      <c r="G3" s="5"/>
      <c r="H3" s="5"/>
      <c r="I3" s="5"/>
    </row>
    <row r="4" spans="2:24" x14ac:dyDescent="0.2">
      <c r="B4" t="s">
        <v>63</v>
      </c>
    </row>
    <row r="5" spans="2:24" ht="16" thickBot="1" x14ac:dyDescent="0.25"/>
    <row r="6" spans="2:24" x14ac:dyDescent="0.2">
      <c r="B6" s="28" t="s">
        <v>48</v>
      </c>
      <c r="C6" s="17"/>
      <c r="D6" s="17"/>
      <c r="E6" s="17"/>
      <c r="F6" s="18"/>
      <c r="G6" s="18"/>
      <c r="H6" s="18"/>
      <c r="I6" s="19"/>
      <c r="K6" s="28" t="s">
        <v>99</v>
      </c>
      <c r="L6" s="18"/>
      <c r="M6" s="18"/>
      <c r="N6" s="17"/>
      <c r="O6" s="18"/>
      <c r="P6" s="17"/>
      <c r="Q6" s="17"/>
      <c r="R6" s="18"/>
      <c r="S6" s="17"/>
      <c r="T6" s="17"/>
      <c r="U6" s="17"/>
      <c r="V6" s="17"/>
      <c r="W6" s="17"/>
      <c r="X6" s="29"/>
    </row>
    <row r="7" spans="2:24" x14ac:dyDescent="0.2">
      <c r="B7" s="22"/>
      <c r="I7" s="21"/>
      <c r="K7" s="22" t="s">
        <v>62</v>
      </c>
      <c r="N7" s="11">
        <v>43.79</v>
      </c>
      <c r="O7" s="2" t="s">
        <v>61</v>
      </c>
      <c r="X7" s="30"/>
    </row>
    <row r="8" spans="2:24" x14ac:dyDescent="0.2">
      <c r="B8" s="22" t="s">
        <v>13</v>
      </c>
      <c r="E8" s="11">
        <v>1140</v>
      </c>
      <c r="F8" s="2" t="s">
        <v>2</v>
      </c>
      <c r="I8" s="21"/>
      <c r="K8" s="22" t="s">
        <v>79</v>
      </c>
      <c r="N8" s="11">
        <v>576</v>
      </c>
      <c r="O8" s="2" t="s">
        <v>61</v>
      </c>
      <c r="P8" s="2"/>
      <c r="X8" s="30"/>
    </row>
    <row r="9" spans="2:24" x14ac:dyDescent="0.2">
      <c r="B9" s="22" t="s">
        <v>9</v>
      </c>
      <c r="E9" s="11">
        <v>9</v>
      </c>
      <c r="F9" s="2" t="s">
        <v>3</v>
      </c>
      <c r="I9" s="21"/>
      <c r="K9" s="22"/>
      <c r="N9" s="9"/>
      <c r="P9" s="2"/>
      <c r="X9" s="30"/>
    </row>
    <row r="10" spans="2:24" x14ac:dyDescent="0.2">
      <c r="B10" s="22" t="s">
        <v>64</v>
      </c>
      <c r="E10" s="49">
        <f>SUM(E8*E9)</f>
        <v>10260</v>
      </c>
      <c r="F10" s="2" t="s">
        <v>0</v>
      </c>
      <c r="G10" t="s">
        <v>11</v>
      </c>
      <c r="H10" s="12">
        <f>SUM(E10/278)</f>
        <v>36.906474820143885</v>
      </c>
      <c r="I10" s="21" t="s">
        <v>8</v>
      </c>
      <c r="K10" s="22" t="s">
        <v>66</v>
      </c>
      <c r="L10"/>
      <c r="N10" s="13">
        <v>30</v>
      </c>
      <c r="O10" s="2" t="s">
        <v>61</v>
      </c>
      <c r="Q10" t="s">
        <v>19</v>
      </c>
      <c r="R10"/>
      <c r="S10">
        <f>SUM(N7)</f>
        <v>43.79</v>
      </c>
      <c r="T10" t="s">
        <v>67</v>
      </c>
      <c r="X10" s="30"/>
    </row>
    <row r="11" spans="2:24" ht="16" thickBot="1" x14ac:dyDescent="0.25">
      <c r="B11" s="24"/>
      <c r="C11" s="25"/>
      <c r="D11" s="25"/>
      <c r="E11" s="25"/>
      <c r="F11" s="26"/>
      <c r="G11" s="26"/>
      <c r="H11" s="26"/>
      <c r="I11" s="27"/>
      <c r="K11" s="24" t="s">
        <v>98</v>
      </c>
      <c r="L11" s="26"/>
      <c r="M11" s="26"/>
      <c r="N11" s="48">
        <v>400</v>
      </c>
      <c r="O11" s="26" t="s">
        <v>1</v>
      </c>
      <c r="P11" s="25"/>
      <c r="Q11" s="25" t="s">
        <v>19</v>
      </c>
      <c r="R11" s="25"/>
      <c r="S11" s="25">
        <f>SUM(N8)</f>
        <v>576</v>
      </c>
      <c r="T11" s="25" t="s">
        <v>67</v>
      </c>
      <c r="U11" s="25"/>
      <c r="V11" s="25"/>
      <c r="W11" s="25"/>
      <c r="X11" s="31"/>
    </row>
    <row r="12" spans="2:24" x14ac:dyDescent="0.2">
      <c r="R12"/>
    </row>
    <row r="13" spans="2:24" ht="16" thickBot="1" x14ac:dyDescent="0.25"/>
    <row r="14" spans="2:24" x14ac:dyDescent="0.2">
      <c r="B14" s="28" t="s">
        <v>51</v>
      </c>
      <c r="C14" s="17"/>
      <c r="D14" s="17"/>
      <c r="E14" s="17"/>
      <c r="F14" s="18"/>
      <c r="G14" s="18"/>
      <c r="H14" s="18"/>
      <c r="I14" s="19"/>
      <c r="K14" s="28" t="s">
        <v>95</v>
      </c>
      <c r="L14" s="18"/>
      <c r="M14" s="18"/>
      <c r="N14" s="17"/>
      <c r="O14" s="18"/>
      <c r="P14" s="17"/>
      <c r="Q14" s="17"/>
      <c r="R14" s="18"/>
      <c r="S14" s="17"/>
      <c r="T14" s="17"/>
      <c r="U14" s="17"/>
      <c r="V14" s="17"/>
      <c r="W14" s="17"/>
      <c r="X14" s="29"/>
    </row>
    <row r="15" spans="2:24" x14ac:dyDescent="0.2">
      <c r="B15" s="20"/>
      <c r="I15" s="21"/>
      <c r="K15" s="22"/>
      <c r="P15" s="32"/>
      <c r="Q15" s="1"/>
      <c r="X15" s="30"/>
    </row>
    <row r="16" spans="2:24" x14ac:dyDescent="0.2">
      <c r="B16" s="22" t="s">
        <v>23</v>
      </c>
      <c r="E16" s="13">
        <v>1.35</v>
      </c>
      <c r="I16" s="21"/>
      <c r="K16" s="22" t="s">
        <v>50</v>
      </c>
      <c r="P16" s="32"/>
      <c r="Q16" s="1"/>
      <c r="X16" s="30"/>
    </row>
    <row r="17" spans="2:24" x14ac:dyDescent="0.2">
      <c r="B17" s="22" t="s">
        <v>24</v>
      </c>
      <c r="E17">
        <f>$E$8</f>
        <v>1140</v>
      </c>
      <c r="I17" s="21"/>
      <c r="K17" s="22" t="s">
        <v>10</v>
      </c>
      <c r="N17" s="11">
        <v>2.5</v>
      </c>
      <c r="Q17" s="34" t="s">
        <v>102</v>
      </c>
      <c r="X17" s="30"/>
    </row>
    <row r="18" spans="2:24" x14ac:dyDescent="0.2">
      <c r="B18" s="22" t="s">
        <v>26</v>
      </c>
      <c r="E18" s="4">
        <f>SUM(E17*E16)</f>
        <v>1539</v>
      </c>
      <c r="F18" s="2" t="s">
        <v>1</v>
      </c>
      <c r="I18" s="21"/>
      <c r="K18" s="22"/>
      <c r="P18" s="2"/>
      <c r="X18" s="30"/>
    </row>
    <row r="19" spans="2:24" x14ac:dyDescent="0.2">
      <c r="B19" s="22" t="s">
        <v>78</v>
      </c>
      <c r="E19" s="11">
        <v>330</v>
      </c>
      <c r="F19" s="2" t="s">
        <v>1</v>
      </c>
      <c r="I19" s="21"/>
      <c r="K19" s="22" t="s">
        <v>59</v>
      </c>
      <c r="N19">
        <f>SUM(E10/N17)</f>
        <v>4104</v>
      </c>
      <c r="O19" s="2" t="s">
        <v>0</v>
      </c>
      <c r="P19" s="2"/>
      <c r="X19" s="30"/>
    </row>
    <row r="20" spans="2:24" x14ac:dyDescent="0.2">
      <c r="B20" s="22" t="s">
        <v>36</v>
      </c>
      <c r="E20" s="14">
        <v>300</v>
      </c>
      <c r="F20" s="2" t="s">
        <v>1</v>
      </c>
      <c r="I20" s="21"/>
      <c r="K20" s="22" t="s">
        <v>5</v>
      </c>
      <c r="N20" s="11">
        <v>15</v>
      </c>
      <c r="O20" s="2" t="s">
        <v>6</v>
      </c>
      <c r="P20" s="2"/>
      <c r="X20" s="30"/>
    </row>
    <row r="21" spans="2:24" x14ac:dyDescent="0.2">
      <c r="B21" s="22"/>
      <c r="E21" s="15"/>
      <c r="I21" s="21"/>
      <c r="K21" s="22" t="s">
        <v>60</v>
      </c>
      <c r="N21" s="4">
        <f>SUM(N19/(1-N20/100))</f>
        <v>4828.2352941176468</v>
      </c>
      <c r="P21" s="2"/>
      <c r="X21" s="30"/>
    </row>
    <row r="22" spans="2:24" x14ac:dyDescent="0.2">
      <c r="B22" s="23" t="s">
        <v>49</v>
      </c>
      <c r="E22" s="44">
        <f>SUM(E18:E20)</f>
        <v>2169</v>
      </c>
      <c r="F22" s="16" t="s">
        <v>1</v>
      </c>
      <c r="I22" s="21"/>
      <c r="K22" s="22" t="s">
        <v>38</v>
      </c>
      <c r="N22" s="11">
        <v>0.1</v>
      </c>
      <c r="O22" s="2" t="s">
        <v>1</v>
      </c>
      <c r="P22" s="2"/>
      <c r="Q22" t="s">
        <v>80</v>
      </c>
      <c r="X22" s="30"/>
    </row>
    <row r="23" spans="2:24" ht="16" thickBot="1" x14ac:dyDescent="0.25">
      <c r="B23" s="24"/>
      <c r="C23" s="25"/>
      <c r="D23" s="25"/>
      <c r="E23" s="25"/>
      <c r="F23" s="26"/>
      <c r="G23" s="26"/>
      <c r="H23" s="26"/>
      <c r="I23" s="27"/>
      <c r="K23" s="22"/>
      <c r="P23" s="2"/>
      <c r="X23" s="30"/>
    </row>
    <row r="24" spans="2:24" x14ac:dyDescent="0.2">
      <c r="K24" s="33" t="s">
        <v>96</v>
      </c>
      <c r="N24" s="4">
        <f>SUM(N21*N22)</f>
        <v>482.8235294117647</v>
      </c>
      <c r="O24" s="2" t="s">
        <v>1</v>
      </c>
      <c r="Q24" s="2" t="s">
        <v>7</v>
      </c>
      <c r="R24" s="1">
        <f>SUM(N24/H10)</f>
        <v>13.08235294117647</v>
      </c>
      <c r="S24" s="2" t="s">
        <v>1</v>
      </c>
      <c r="T24" s="34"/>
      <c r="X24" s="30"/>
    </row>
    <row r="25" spans="2:24" ht="16" thickBot="1" x14ac:dyDescent="0.25">
      <c r="K25" s="22"/>
      <c r="P25" s="2"/>
      <c r="S25" s="34"/>
      <c r="X25" s="30"/>
    </row>
    <row r="26" spans="2:24" x14ac:dyDescent="0.2">
      <c r="B26" s="28" t="s">
        <v>52</v>
      </c>
      <c r="C26" s="17"/>
      <c r="D26" s="17"/>
      <c r="E26" s="17"/>
      <c r="F26" s="18"/>
      <c r="G26" s="18"/>
      <c r="H26" s="18"/>
      <c r="I26" s="19"/>
      <c r="K26" s="22" t="s">
        <v>97</v>
      </c>
      <c r="X26" s="30"/>
    </row>
    <row r="27" spans="2:24" ht="13.75" customHeight="1" x14ac:dyDescent="0.2">
      <c r="B27" s="22"/>
      <c r="G27"/>
      <c r="H27" s="12"/>
      <c r="I27" s="21"/>
      <c r="K27" s="22"/>
      <c r="X27" s="30"/>
    </row>
    <row r="28" spans="2:24" x14ac:dyDescent="0.2">
      <c r="B28" s="22" t="s">
        <v>50</v>
      </c>
      <c r="G28"/>
      <c r="H28" s="12"/>
      <c r="I28" s="21"/>
      <c r="K28" s="33" t="s">
        <v>15</v>
      </c>
      <c r="N28" s="35">
        <v>30000000</v>
      </c>
      <c r="X28" s="30"/>
    </row>
    <row r="29" spans="2:24" x14ac:dyDescent="0.2">
      <c r="B29" s="22" t="s">
        <v>10</v>
      </c>
      <c r="E29" s="11">
        <v>3.5</v>
      </c>
      <c r="I29" s="21"/>
      <c r="K29" s="22" t="s">
        <v>18</v>
      </c>
      <c r="N29" s="11"/>
      <c r="X29" s="30"/>
    </row>
    <row r="30" spans="2:24" x14ac:dyDescent="0.2">
      <c r="B30" s="22" t="s">
        <v>94</v>
      </c>
      <c r="E30" s="4">
        <f>SUM(E10/E29)</f>
        <v>2931.4285714285716</v>
      </c>
      <c r="F30" s="2" t="s">
        <v>0</v>
      </c>
      <c r="I30" s="21"/>
      <c r="K30" s="22" t="s">
        <v>81</v>
      </c>
      <c r="N30" s="11"/>
      <c r="X30" s="30"/>
    </row>
    <row r="31" spans="2:24" x14ac:dyDescent="0.2">
      <c r="B31" s="22" t="s">
        <v>38</v>
      </c>
      <c r="E31" s="11">
        <v>0.4</v>
      </c>
      <c r="F31" s="2" t="s">
        <v>1</v>
      </c>
      <c r="I31" s="21"/>
      <c r="K31" s="22" t="s">
        <v>16</v>
      </c>
      <c r="N31" s="11">
        <v>850</v>
      </c>
      <c r="X31" s="30"/>
    </row>
    <row r="32" spans="2:24" x14ac:dyDescent="0.2">
      <c r="B32" s="22"/>
      <c r="E32" s="9"/>
      <c r="I32" s="21"/>
      <c r="K32" s="22" t="s">
        <v>17</v>
      </c>
      <c r="N32" s="4">
        <f>SUM((N28+N29-N30)/N31)</f>
        <v>35294.117647058825</v>
      </c>
      <c r="X32" s="30"/>
    </row>
    <row r="33" spans="2:24" x14ac:dyDescent="0.2">
      <c r="B33" s="22" t="s">
        <v>46</v>
      </c>
      <c r="E33" s="45">
        <f>SUM(E30*E31)</f>
        <v>1172.5714285714287</v>
      </c>
      <c r="F33" s="2" t="s">
        <v>1</v>
      </c>
      <c r="G33" s="2" t="s">
        <v>7</v>
      </c>
      <c r="H33" s="12">
        <f>SUM(E33/H10)</f>
        <v>31.771428571428576</v>
      </c>
      <c r="I33" s="21" t="s">
        <v>12</v>
      </c>
      <c r="K33" s="22" t="s">
        <v>82</v>
      </c>
      <c r="N33" s="14">
        <v>3775</v>
      </c>
      <c r="X33" s="30"/>
    </row>
    <row r="34" spans="2:24" x14ac:dyDescent="0.2">
      <c r="B34" s="22"/>
      <c r="I34" s="21"/>
      <c r="K34" s="22" t="s">
        <v>83</v>
      </c>
      <c r="N34" s="4">
        <f>SUM(N32-N33)</f>
        <v>31519.117647058825</v>
      </c>
      <c r="X34" s="30"/>
    </row>
    <row r="35" spans="2:24" x14ac:dyDescent="0.2">
      <c r="B35" s="22"/>
      <c r="I35" s="21"/>
      <c r="K35" s="22" t="s">
        <v>41</v>
      </c>
      <c r="L35" s="34" t="s">
        <v>42</v>
      </c>
      <c r="N35" s="36">
        <v>4.5</v>
      </c>
      <c r="O35" s="2" t="s">
        <v>6</v>
      </c>
      <c r="X35" s="30"/>
    </row>
    <row r="36" spans="2:24" x14ac:dyDescent="0.2">
      <c r="B36" s="22" t="s">
        <v>47</v>
      </c>
      <c r="I36" s="21"/>
      <c r="K36" s="22"/>
      <c r="L36" t="s">
        <v>40</v>
      </c>
      <c r="N36" s="37">
        <v>360</v>
      </c>
      <c r="O36" s="2" t="s">
        <v>43</v>
      </c>
      <c r="X36" s="30"/>
    </row>
    <row r="37" spans="2:24" x14ac:dyDescent="0.2">
      <c r="B37" s="22"/>
      <c r="I37" s="21"/>
      <c r="K37" s="22"/>
      <c r="N37" s="4">
        <f>-PMT(N35/12/100,N36,N34)</f>
        <v>159.70273890438384</v>
      </c>
      <c r="O37" s="2" t="s">
        <v>45</v>
      </c>
      <c r="X37" s="30"/>
    </row>
    <row r="38" spans="2:24" x14ac:dyDescent="0.2">
      <c r="B38" s="22" t="s">
        <v>20</v>
      </c>
      <c r="E38" s="11">
        <v>80</v>
      </c>
      <c r="H38" s="2" t="s">
        <v>21</v>
      </c>
      <c r="I38" s="21"/>
      <c r="K38" s="22" t="s">
        <v>73</v>
      </c>
      <c r="N38" s="4">
        <f>SUM(N37*12)</f>
        <v>1916.4328668526059</v>
      </c>
      <c r="O38" s="2" t="s">
        <v>44</v>
      </c>
      <c r="Q38" t="s">
        <v>103</v>
      </c>
      <c r="X38" s="30"/>
    </row>
    <row r="39" spans="2:24" x14ac:dyDescent="0.2">
      <c r="B39" s="22"/>
      <c r="H39" s="2" t="s">
        <v>22</v>
      </c>
      <c r="I39" s="21"/>
      <c r="K39" s="22"/>
      <c r="X39" s="30"/>
    </row>
    <row r="40" spans="2:24" x14ac:dyDescent="0.2">
      <c r="B40" s="22" t="s">
        <v>14</v>
      </c>
      <c r="E40" s="11">
        <v>12000</v>
      </c>
      <c r="F40" s="2" t="s">
        <v>1</v>
      </c>
      <c r="I40" s="21"/>
      <c r="K40" s="22" t="s">
        <v>35</v>
      </c>
      <c r="N40" s="11"/>
      <c r="Q40" s="4"/>
      <c r="S40" s="34"/>
      <c r="X40" s="30"/>
    </row>
    <row r="41" spans="2:24" x14ac:dyDescent="0.2">
      <c r="B41" s="22" t="s">
        <v>39</v>
      </c>
      <c r="E41" s="11"/>
      <c r="I41" s="21"/>
      <c r="K41" s="22" t="s">
        <v>74</v>
      </c>
      <c r="N41" s="4">
        <f>SUM(N24)</f>
        <v>482.8235294117647</v>
      </c>
      <c r="O41" s="2" t="s">
        <v>72</v>
      </c>
      <c r="Q41" s="4"/>
      <c r="S41" s="34"/>
      <c r="X41" s="30"/>
    </row>
    <row r="42" spans="2:24" x14ac:dyDescent="0.2">
      <c r="B42" s="22" t="s">
        <v>25</v>
      </c>
      <c r="E42">
        <f>SUM(E40-E41)</f>
        <v>12000</v>
      </c>
      <c r="I42" s="21"/>
      <c r="K42" s="22" t="s">
        <v>76</v>
      </c>
      <c r="N42" s="4">
        <f>SUM(N38+N24+N40)</f>
        <v>2399.2563962643708</v>
      </c>
      <c r="O42" s="2" t="s">
        <v>72</v>
      </c>
      <c r="Q42" t="s">
        <v>75</v>
      </c>
      <c r="X42" s="30"/>
    </row>
    <row r="43" spans="2:24" x14ac:dyDescent="0.2">
      <c r="B43" s="22" t="s">
        <v>41</v>
      </c>
      <c r="C43" t="s">
        <v>42</v>
      </c>
      <c r="E43" s="11">
        <v>4.5</v>
      </c>
      <c r="F43" s="2" t="s">
        <v>6</v>
      </c>
      <c r="I43" s="21"/>
      <c r="K43" s="22"/>
      <c r="X43" s="30"/>
    </row>
    <row r="44" spans="2:24" x14ac:dyDescent="0.2">
      <c r="B44" s="22"/>
      <c r="C44" t="s">
        <v>40</v>
      </c>
      <c r="E44" s="46">
        <v>180</v>
      </c>
      <c r="F44" s="2" t="s">
        <v>43</v>
      </c>
      <c r="H44" s="40"/>
      <c r="I44" s="21"/>
      <c r="K44" s="22" t="s">
        <v>68</v>
      </c>
      <c r="M44"/>
      <c r="O44"/>
      <c r="R44"/>
      <c r="X44" s="30"/>
    </row>
    <row r="45" spans="2:24" x14ac:dyDescent="0.2">
      <c r="B45" s="22"/>
      <c r="E45" s="4">
        <f>-PMT(E43/12/100,E44,E42)</f>
        <v>91.799194657614208</v>
      </c>
      <c r="F45" s="2" t="s">
        <v>45</v>
      </c>
      <c r="I45" s="21"/>
      <c r="K45" s="22"/>
      <c r="M45"/>
      <c r="O45"/>
      <c r="R45"/>
      <c r="X45" s="30"/>
    </row>
    <row r="46" spans="2:24" x14ac:dyDescent="0.2">
      <c r="B46" s="22" t="s">
        <v>73</v>
      </c>
      <c r="E46" s="4">
        <f>SUM(E45*12)</f>
        <v>1101.5903358913706</v>
      </c>
      <c r="F46" s="2" t="s">
        <v>44</v>
      </c>
      <c r="I46" s="21"/>
      <c r="K46" s="22" t="s">
        <v>84</v>
      </c>
      <c r="L46"/>
      <c r="M46"/>
      <c r="N46">
        <f>SUM(N11)</f>
        <v>400</v>
      </c>
      <c r="O46" s="2" t="s">
        <v>72</v>
      </c>
      <c r="Q46" t="s">
        <v>69</v>
      </c>
      <c r="R46"/>
      <c r="X46" s="30"/>
    </row>
    <row r="47" spans="2:24" x14ac:dyDescent="0.2">
      <c r="B47" s="22"/>
      <c r="I47" s="21"/>
      <c r="K47" s="22" t="s">
        <v>85</v>
      </c>
      <c r="L47"/>
      <c r="M47"/>
      <c r="N47" s="4">
        <f>SUM(N10*H10)</f>
        <v>1107.1942446043165</v>
      </c>
      <c r="O47" s="2" t="s">
        <v>72</v>
      </c>
      <c r="Q47" s="34" t="s">
        <v>29</v>
      </c>
      <c r="R47"/>
      <c r="X47" s="30"/>
    </row>
    <row r="48" spans="2:24" x14ac:dyDescent="0.2">
      <c r="B48" s="22" t="s">
        <v>34</v>
      </c>
      <c r="E48" s="11"/>
      <c r="I48" s="21"/>
      <c r="K48" s="22"/>
      <c r="R48"/>
      <c r="X48" s="30"/>
    </row>
    <row r="49" spans="2:24" x14ac:dyDescent="0.2">
      <c r="B49" s="22" t="s">
        <v>74</v>
      </c>
      <c r="E49" s="4">
        <f>SUM(E33)</f>
        <v>1172.5714285714287</v>
      </c>
      <c r="I49" s="21"/>
      <c r="K49" s="22" t="s">
        <v>70</v>
      </c>
      <c r="N49" s="4">
        <f>SUM(N46+N47)</f>
        <v>1507.1942446043165</v>
      </c>
      <c r="O49" s="2" t="s">
        <v>72</v>
      </c>
      <c r="Q49" t="s">
        <v>71</v>
      </c>
      <c r="R49"/>
      <c r="X49" s="30"/>
    </row>
    <row r="50" spans="2:24" x14ac:dyDescent="0.2">
      <c r="B50" s="22"/>
      <c r="E50" s="9"/>
      <c r="I50" s="21"/>
      <c r="K50" s="22"/>
      <c r="X50" s="30"/>
    </row>
    <row r="51" spans="2:24" x14ac:dyDescent="0.2">
      <c r="B51" s="22"/>
      <c r="E51" s="9"/>
      <c r="I51" s="21"/>
      <c r="K51" s="22"/>
      <c r="M51"/>
      <c r="O51"/>
      <c r="R51"/>
      <c r="X51" s="30"/>
    </row>
    <row r="52" spans="2:24" x14ac:dyDescent="0.2">
      <c r="B52" s="22"/>
      <c r="E52" s="9"/>
      <c r="I52" s="21"/>
      <c r="K52" s="23" t="s">
        <v>90</v>
      </c>
      <c r="M52"/>
      <c r="O52"/>
      <c r="R52"/>
      <c r="X52" s="30"/>
    </row>
    <row r="53" spans="2:24" ht="16" thickBot="1" x14ac:dyDescent="0.25">
      <c r="B53" s="38" t="s">
        <v>53</v>
      </c>
      <c r="C53" s="41"/>
      <c r="D53" s="41"/>
      <c r="E53" s="47">
        <f>SUM(E49+E48+E46+E38)</f>
        <v>2354.1617644627995</v>
      </c>
      <c r="F53" s="39" t="s">
        <v>1</v>
      </c>
      <c r="G53" s="26"/>
      <c r="H53" s="26" t="s">
        <v>103</v>
      </c>
      <c r="I53" s="27"/>
      <c r="K53" s="38" t="s">
        <v>92</v>
      </c>
      <c r="L53" s="26"/>
      <c r="M53" s="26"/>
      <c r="N53" s="47">
        <f>SUM(N49-N42)</f>
        <v>-892.06215166005427</v>
      </c>
      <c r="O53" s="39" t="s">
        <v>72</v>
      </c>
      <c r="P53" s="25"/>
      <c r="Q53" s="25"/>
      <c r="R53" s="26"/>
      <c r="S53" s="25"/>
      <c r="T53" s="25"/>
      <c r="U53" s="25"/>
      <c r="V53" s="25"/>
      <c r="W53" s="25"/>
      <c r="X53" s="31"/>
    </row>
    <row r="54" spans="2:24" x14ac:dyDescent="0.2">
      <c r="B54" t="s">
        <v>4</v>
      </c>
    </row>
    <row r="55" spans="2:24" ht="16" thickBot="1" x14ac:dyDescent="0.25"/>
    <row r="56" spans="2:24" x14ac:dyDescent="0.2">
      <c r="B56" s="42" t="s">
        <v>54</v>
      </c>
      <c r="C56" s="17"/>
      <c r="D56" s="17"/>
      <c r="E56" s="17"/>
      <c r="F56" s="17"/>
      <c r="G56" s="18"/>
      <c r="H56" s="18"/>
      <c r="I56" s="19"/>
      <c r="K56" t="s">
        <v>103</v>
      </c>
      <c r="L56" t="s">
        <v>107</v>
      </c>
      <c r="O56"/>
      <c r="P56" s="2"/>
      <c r="R56"/>
      <c r="W56" s="2"/>
    </row>
    <row r="57" spans="2:24" x14ac:dyDescent="0.2">
      <c r="B57" s="22"/>
      <c r="E57" s="4"/>
      <c r="I57" s="21"/>
      <c r="S57" s="4"/>
    </row>
    <row r="58" spans="2:24" x14ac:dyDescent="0.2">
      <c r="B58" s="22" t="s">
        <v>57</v>
      </c>
      <c r="E58" s="12">
        <f>SUM(E10/278)</f>
        <v>36.906474820143885</v>
      </c>
      <c r="I58" s="21"/>
      <c r="K58" t="s">
        <v>105</v>
      </c>
      <c r="L58" s="34" t="s">
        <v>106</v>
      </c>
      <c r="Q58" s="4"/>
    </row>
    <row r="59" spans="2:24" x14ac:dyDescent="0.2">
      <c r="B59" s="22" t="s">
        <v>58</v>
      </c>
      <c r="C59" s="9"/>
      <c r="E59">
        <f>SUM(N7)</f>
        <v>43.79</v>
      </c>
      <c r="F59" s="2" t="s">
        <v>1</v>
      </c>
      <c r="I59" s="21"/>
    </row>
    <row r="60" spans="2:24" x14ac:dyDescent="0.2">
      <c r="B60" s="22" t="s">
        <v>56</v>
      </c>
      <c r="E60" s="4">
        <f>SUM(E58*E59)</f>
        <v>1616.1345323741007</v>
      </c>
      <c r="F60" s="2" t="s">
        <v>1</v>
      </c>
      <c r="I60" s="21"/>
      <c r="K60" t="s">
        <v>108</v>
      </c>
      <c r="L60" t="s">
        <v>77</v>
      </c>
    </row>
    <row r="61" spans="2:24" x14ac:dyDescent="0.2">
      <c r="B61" s="22" t="s">
        <v>55</v>
      </c>
      <c r="E61">
        <f>SUM(N8)</f>
        <v>576</v>
      </c>
      <c r="F61" s="2" t="s">
        <v>1</v>
      </c>
      <c r="I61" s="21"/>
    </row>
    <row r="62" spans="2:24" x14ac:dyDescent="0.2">
      <c r="B62" s="22"/>
      <c r="I62" s="21"/>
    </row>
    <row r="63" spans="2:24" ht="16" thickBot="1" x14ac:dyDescent="0.25">
      <c r="B63" s="38" t="s">
        <v>65</v>
      </c>
      <c r="C63" s="41"/>
      <c r="D63" s="41"/>
      <c r="E63" s="47">
        <f>SUM(E61+E60)</f>
        <v>2192.1345323741007</v>
      </c>
      <c r="F63" s="39" t="s">
        <v>1</v>
      </c>
      <c r="G63" s="26"/>
      <c r="H63" s="26"/>
      <c r="I63" s="27"/>
    </row>
    <row r="64" spans="2:24" x14ac:dyDescent="0.2">
      <c r="E64" s="1"/>
    </row>
    <row r="65" spans="2:19" x14ac:dyDescent="0.2">
      <c r="E65" s="1"/>
    </row>
    <row r="66" spans="2:19" x14ac:dyDescent="0.2">
      <c r="B66" t="s">
        <v>93</v>
      </c>
      <c r="E66" s="9"/>
    </row>
    <row r="67" spans="2:19" x14ac:dyDescent="0.2">
      <c r="B67" t="s">
        <v>87</v>
      </c>
      <c r="E67" s="4"/>
    </row>
    <row r="68" spans="2:19" x14ac:dyDescent="0.2">
      <c r="B68" t="s">
        <v>88</v>
      </c>
    </row>
    <row r="69" spans="2:19" x14ac:dyDescent="0.2">
      <c r="B69" t="s">
        <v>89</v>
      </c>
      <c r="E69" s="1"/>
      <c r="Q69" s="4"/>
    </row>
    <row r="70" spans="2:19" x14ac:dyDescent="0.2">
      <c r="B70" t="s">
        <v>100</v>
      </c>
      <c r="E70" s="1"/>
      <c r="Q70" s="4"/>
    </row>
    <row r="71" spans="2:19" x14ac:dyDescent="0.2">
      <c r="E71" s="1"/>
      <c r="Q71" s="4"/>
      <c r="S71" s="4"/>
    </row>
    <row r="72" spans="2:19" x14ac:dyDescent="0.2">
      <c r="B72" t="s">
        <v>33</v>
      </c>
      <c r="N72" s="6" t="s">
        <v>32</v>
      </c>
    </row>
    <row r="73" spans="2:19" x14ac:dyDescent="0.2">
      <c r="B73" s="6" t="s">
        <v>30</v>
      </c>
    </row>
    <row r="74" spans="2:19" x14ac:dyDescent="0.2">
      <c r="B74" t="s">
        <v>27</v>
      </c>
    </row>
    <row r="75" spans="2:19" x14ac:dyDescent="0.2">
      <c r="B75" t="s">
        <v>28</v>
      </c>
    </row>
    <row r="76" spans="2:19" x14ac:dyDescent="0.2">
      <c r="B76" t="s">
        <v>37</v>
      </c>
    </row>
    <row r="78" spans="2:19" x14ac:dyDescent="0.2">
      <c r="B78" t="s">
        <v>91</v>
      </c>
    </row>
    <row r="80" spans="2:19" x14ac:dyDescent="0.2">
      <c r="B80" t="s">
        <v>104</v>
      </c>
    </row>
    <row r="82" spans="2:3" x14ac:dyDescent="0.2">
      <c r="B82" s="43" t="s">
        <v>101</v>
      </c>
    </row>
    <row r="83" spans="2:3" x14ac:dyDescent="0.2">
      <c r="B83" t="s">
        <v>109</v>
      </c>
      <c r="C83" s="7"/>
    </row>
    <row r="87" spans="2:3" x14ac:dyDescent="0.2">
      <c r="C87" s="8"/>
    </row>
  </sheetData>
  <sheetProtection password="8BDC" sheet="1" objects="1" scenarios="1" selectLockedCells="1"/>
  <hyperlinks>
    <hyperlink ref="B82" r:id="rId1" xr:uid="{00000000-0004-0000-0100-000000000000}"/>
  </hyperlinks>
  <pageMargins left="0.7" right="0.7" top="0.75" bottom="0.75" header="0.3" footer="0.3"/>
  <pageSetup paperSize="9" scale="6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Blad4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Slockers</dc:creator>
  <cp:lastModifiedBy>Marjolijn Bruurs</cp:lastModifiedBy>
  <cp:lastPrinted>2025-12-01T08:53:38Z</cp:lastPrinted>
  <dcterms:created xsi:type="dcterms:W3CDTF">2025-11-25T14:30:16Z</dcterms:created>
  <dcterms:modified xsi:type="dcterms:W3CDTF">2025-12-27T11:59:26Z</dcterms:modified>
</cp:coreProperties>
</file>